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315" windowHeight="7860" activeTab="5"/>
  </bookViews>
  <sheets>
    <sheet name="Movimentação Anual" sheetId="5" r:id="rId1"/>
    <sheet name="Movimentação de Conteiner Anual" sheetId="7" r:id="rId2"/>
    <sheet name="Movimentação de Contêiner" sheetId="1" r:id="rId3"/>
    <sheet name="Indicador - Espera" sheetId="2" r:id="rId4"/>
    <sheet name="Indicador - Produtividade" sheetId="3" r:id="rId5"/>
    <sheet name="Índices" sheetId="4" r:id="rId6"/>
  </sheets>
  <calcPr calcId="124519"/>
</workbook>
</file>

<file path=xl/calcChain.xml><?xml version="1.0" encoding="utf-8"?>
<calcChain xmlns="http://schemas.openxmlformats.org/spreadsheetml/2006/main">
  <c r="R8" i="4"/>
  <c r="R7"/>
  <c r="R6"/>
  <c r="O29" i="5"/>
  <c r="N27" i="1" l="1"/>
  <c r="M8" i="4"/>
  <c r="M7"/>
  <c r="M6"/>
  <c r="N8"/>
  <c r="N7"/>
  <c r="N6"/>
  <c r="O8"/>
  <c r="O7"/>
  <c r="O6"/>
  <c r="P8"/>
  <c r="P7"/>
  <c r="P6"/>
  <c r="Q8"/>
  <c r="Q7"/>
  <c r="Q6"/>
  <c r="C8"/>
  <c r="C7"/>
  <c r="C6"/>
  <c r="D8"/>
  <c r="D7"/>
  <c r="D6"/>
  <c r="E8"/>
  <c r="E7"/>
  <c r="E6"/>
  <c r="F8"/>
  <c r="F7"/>
  <c r="F6"/>
  <c r="G8"/>
  <c r="G7"/>
  <c r="G6"/>
  <c r="H8"/>
  <c r="H7"/>
  <c r="H6"/>
  <c r="I8"/>
  <c r="I7"/>
  <c r="I6"/>
  <c r="J8"/>
  <c r="J7"/>
  <c r="J6"/>
  <c r="L8"/>
  <c r="L7"/>
  <c r="L6"/>
  <c r="K8"/>
  <c r="K7"/>
  <c r="K6"/>
  <c r="I9" i="2"/>
  <c r="H9"/>
  <c r="G9"/>
  <c r="F9"/>
  <c r="E9"/>
  <c r="D9"/>
  <c r="C9"/>
  <c r="B9"/>
  <c r="O7"/>
  <c r="N7"/>
  <c r="M7"/>
  <c r="J7"/>
  <c r="H7"/>
  <c r="N29" i="5"/>
  <c r="M29"/>
  <c r="L29"/>
  <c r="K29"/>
  <c r="N28" i="1"/>
  <c r="V30" i="2" l="1"/>
  <c r="M29" i="1"/>
  <c r="I29" l="1"/>
  <c r="N29" l="1"/>
</calcChain>
</file>

<file path=xl/sharedStrings.xml><?xml version="1.0" encoding="utf-8"?>
<sst xmlns="http://schemas.openxmlformats.org/spreadsheetml/2006/main" count="73" uniqueCount="56">
  <si>
    <t>Ano /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</si>
  <si>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</si>
  <si>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</si>
  <si>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</si>
  <si>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</si>
  <si>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</si>
  <si>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</si>
  <si>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</si>
  <si>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</si>
  <si>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</si>
  <si>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</si>
  <si>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</si>
  <si>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</si>
  <si>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</si>
  <si>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Porto              /          Ano</t>
  </si>
  <si>
    <t>Navios porta-contêiner</t>
  </si>
  <si>
    <t>Médias de horas esperadas por navio</t>
  </si>
  <si>
    <t>Terminal de contêiner</t>
  </si>
  <si>
    <t>Fonte: Codeda</t>
  </si>
  <si>
    <t>Fonte: Codeba</t>
  </si>
  <si>
    <t>Porto de Salvador</t>
  </si>
  <si>
    <t>navios e atracação</t>
  </si>
  <si>
    <t>Espera para atracação (em dias)</t>
  </si>
  <si>
    <t>Terminal  / Ano</t>
  </si>
  <si>
    <t xml:space="preserve">Contêiner </t>
  </si>
  <si>
    <t>índices</t>
  </si>
  <si>
    <t>Índice / Ano</t>
  </si>
  <si>
    <t>-</t>
  </si>
  <si>
    <t>Movimentos unidades/hora (1)</t>
  </si>
  <si>
    <t>(1) Considerar hora operada corrida, a partir do início efetivo da operação ao seu término.</t>
  </si>
  <si>
    <t>Toneladas por Contêiner</t>
  </si>
  <si>
    <t>Ano</t>
  </si>
  <si>
    <t>Quantidade (ton)</t>
  </si>
  <si>
    <t>Fonte: CODEBA</t>
  </si>
  <si>
    <t>n/d (1)</t>
  </si>
  <si>
    <t>(2) Movimentos realizados por guindaste (portêiner) para carregamento/descarregamento de navio; Produtividade em terra, carregamento/descarregamento de carretas não informado.</t>
  </si>
  <si>
    <t>n/d</t>
  </si>
  <si>
    <t>(1) n/d não divulgado, mas armadores informaram ter espera.</t>
  </si>
  <si>
    <t>(1)Contêiner em unidades, cheios e vazios.</t>
  </si>
  <si>
    <t>Conteiner (unid)</t>
  </si>
  <si>
    <t xml:space="preserve">n/d </t>
  </si>
  <si>
    <t>Conteiner (ton)</t>
  </si>
  <si>
    <t>(1) Tara de Contêiner excluída</t>
  </si>
  <si>
    <t>Cais de Ligação - Tecon</t>
  </si>
  <si>
    <t>Cais Água de Meninos - Tecon</t>
  </si>
  <si>
    <t>2018 (3)</t>
  </si>
  <si>
    <t>2019 (2)</t>
  </si>
  <si>
    <t>2019 (1)</t>
  </si>
  <si>
    <t>2019 (3)</t>
  </si>
  <si>
    <t>Consignação Média (2)</t>
  </si>
  <si>
    <t>(1) Percentual de carga conteineirizada no total de carga geral</t>
  </si>
  <si>
    <t>(2) Número de contêineres por navio</t>
  </si>
  <si>
    <t>(2) Acumulado até fevereiro.</t>
  </si>
  <si>
    <t>(1) Acumulado até fevereiro.</t>
  </si>
  <si>
    <t>(3) Acumulado até fevereiro.</t>
  </si>
  <si>
    <t>Conteneirização Média (1)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</si>
</sst>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6" fillId="3" borderId="0" xfId="0" applyFont="1" applyFill="1"/>
    <xf numFmtId="164" fontId="0" fillId="0" borderId="0" xfId="0" applyNumberFormat="1"/>
    <xf numFmtId="0" fontId="0" fillId="0" borderId="0" xfId="0" applyBorder="1"/>
    <xf numFmtId="164" fontId="6" fillId="3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0" fontId="0" fillId="0" borderId="2" xfId="0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1" fillId="6" borderId="13" xfId="0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1" applyNumberFormat="1" applyFont="1" applyFill="1" applyBorder="1"/>
    <xf numFmtId="164" fontId="1" fillId="0" borderId="10" xfId="1" applyNumberFormat="1" applyFont="1" applyFill="1" applyBorder="1" applyAlignment="1">
      <alignment horizontal="right"/>
    </xf>
    <xf numFmtId="0" fontId="1" fillId="0" borderId="9" xfId="0" applyFont="1" applyFill="1" applyBorder="1"/>
    <xf numFmtId="164" fontId="0" fillId="0" borderId="18" xfId="1" applyNumberFormat="1" applyFont="1" applyBorder="1"/>
    <xf numFmtId="0" fontId="0" fillId="0" borderId="0" xfId="0" applyFill="1" applyBorder="1"/>
    <xf numFmtId="164" fontId="0" fillId="0" borderId="0" xfId="0" applyNumberFormat="1" applyBorder="1"/>
    <xf numFmtId="0" fontId="1" fillId="0" borderId="18" xfId="0" applyFont="1" applyBorder="1"/>
    <xf numFmtId="0" fontId="2" fillId="0" borderId="18" xfId="0" applyFont="1" applyBorder="1"/>
    <xf numFmtId="0" fontId="2" fillId="5" borderId="18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1" fillId="0" borderId="0" xfId="1" applyNumberFormat="1" applyFont="1" applyBorder="1"/>
    <xf numFmtId="164" fontId="1" fillId="0" borderId="8" xfId="1" applyNumberFormat="1" applyFont="1" applyBorder="1"/>
    <xf numFmtId="164" fontId="2" fillId="0" borderId="19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1" fillId="0" borderId="1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64" fontId="0" fillId="0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2" fillId="0" borderId="18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43" fontId="1" fillId="0" borderId="12" xfId="1" applyFont="1" applyBorder="1" applyAlignment="1">
      <alignment horizontal="center"/>
    </xf>
    <xf numFmtId="165" fontId="0" fillId="0" borderId="18" xfId="0" applyNumberFormat="1" applyBorder="1"/>
    <xf numFmtId="165" fontId="0" fillId="0" borderId="18" xfId="1" applyNumberFormat="1" applyFont="1" applyBorder="1"/>
    <xf numFmtId="1" fontId="0" fillId="0" borderId="18" xfId="0" applyNumberFormat="1" applyBorder="1"/>
    <xf numFmtId="1" fontId="0" fillId="0" borderId="18" xfId="1" applyNumberFormat="1" applyFont="1" applyBorder="1"/>
    <xf numFmtId="0" fontId="1" fillId="0" borderId="0" xfId="0" applyFont="1" applyBorder="1"/>
    <xf numFmtId="0" fontId="0" fillId="0" borderId="2" xfId="0" applyBorder="1"/>
    <xf numFmtId="0" fontId="0" fillId="0" borderId="4" xfId="0" applyBorder="1"/>
    <xf numFmtId="43" fontId="1" fillId="0" borderId="1" xfId="1" applyFont="1" applyBorder="1" applyAlignment="1">
      <alignment horizontal="center"/>
    </xf>
    <xf numFmtId="0" fontId="0" fillId="4" borderId="16" xfId="0" applyFill="1" applyBorder="1"/>
    <xf numFmtId="0" fontId="0" fillId="4" borderId="20" xfId="0" applyFill="1" applyBorder="1"/>
    <xf numFmtId="0" fontId="0" fillId="4" borderId="15" xfId="0" applyFill="1" applyBorder="1"/>
    <xf numFmtId="0" fontId="2" fillId="9" borderId="14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6" borderId="11" xfId="0" applyFont="1" applyFill="1" applyBorder="1"/>
    <xf numFmtId="0" fontId="1" fillId="10" borderId="9" xfId="0" applyFont="1" applyFill="1" applyBorder="1"/>
    <xf numFmtId="0" fontId="0" fillId="6" borderId="1" xfId="0" applyFill="1" applyBorder="1"/>
    <xf numFmtId="0" fontId="0" fillId="6" borderId="12" xfId="0" applyFill="1" applyBorder="1"/>
    <xf numFmtId="0" fontId="2" fillId="7" borderId="14" xfId="0" applyFont="1" applyFill="1" applyBorder="1" applyAlignment="1"/>
    <xf numFmtId="0" fontId="2" fillId="7" borderId="14" xfId="0" applyFont="1" applyFill="1" applyBorder="1"/>
    <xf numFmtId="0" fontId="2" fillId="7" borderId="14" xfId="0" applyFont="1" applyFill="1" applyBorder="1" applyAlignment="1">
      <alignment horizontal="right"/>
    </xf>
    <xf numFmtId="0" fontId="2" fillId="7" borderId="17" xfId="0" applyFont="1" applyFill="1" applyBorder="1" applyAlignment="1">
      <alignment horizontal="right"/>
    </xf>
    <xf numFmtId="0" fontId="1" fillId="6" borderId="15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18" xfId="0" applyNumberFormat="1" applyFill="1" applyBorder="1"/>
    <xf numFmtId="1" fontId="0" fillId="0" borderId="18" xfId="0" applyNumberFormat="1" applyFill="1" applyBorder="1"/>
    <xf numFmtId="0" fontId="0" fillId="6" borderId="3" xfId="0" applyFill="1" applyBorder="1"/>
    <xf numFmtId="0" fontId="0" fillId="6" borderId="14" xfId="0" applyFill="1" applyBorder="1"/>
    <xf numFmtId="0" fontId="0" fillId="6" borderId="17" xfId="0" applyFill="1" applyBorder="1"/>
    <xf numFmtId="0" fontId="0" fillId="6" borderId="11" xfId="0" applyFill="1" applyBorder="1"/>
    <xf numFmtId="0" fontId="2" fillId="7" borderId="3" xfId="0" applyFont="1" applyFill="1" applyBorder="1"/>
    <xf numFmtId="9" fontId="0" fillId="0" borderId="0" xfId="2" applyFont="1"/>
    <xf numFmtId="166" fontId="0" fillId="0" borderId="0" xfId="2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164" fontId="2" fillId="0" borderId="6" xfId="0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0" fontId="2" fillId="6" borderId="12" xfId="0" applyFont="1" applyFill="1" applyBorder="1"/>
    <xf numFmtId="164" fontId="2" fillId="6" borderId="1" xfId="1" applyNumberFormat="1" applyFont="1" applyFill="1" applyBorder="1"/>
    <xf numFmtId="0" fontId="2" fillId="6" borderId="1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5" borderId="1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9" fontId="0" fillId="0" borderId="18" xfId="2" applyFont="1" applyBorder="1"/>
    <xf numFmtId="9" fontId="0" fillId="0" borderId="18" xfId="2" applyFont="1" applyFill="1" applyBorder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Porto de Salvador - Movimentação Total Anual (1)</a:t>
            </a:r>
          </a:p>
          <a:p>
            <a:pPr>
              <a:defRPr/>
            </a:pPr>
            <a:r>
              <a:rPr lang="pt-BR" sz="1200" b="0" i="0" baseline="0">
                <a:solidFill>
                  <a:schemeClr val="tx1"/>
                </a:solidFill>
                <a:effectLst/>
              </a:rPr>
              <a:t>em 10³  toneladas </a:t>
            </a:r>
            <a:endParaRPr lang="pt-BR" sz="1200" b="0">
              <a:solidFill>
                <a:schemeClr val="tx1"/>
              </a:solidFill>
              <a:effectLst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6.8180045547236709E-2"/>
          <c:y val="0.16043225309002629"/>
          <c:w val="0.93181995445276333"/>
          <c:h val="0.75802215005023477"/>
        </c:manualLayout>
      </c:layout>
      <c:lineChart>
        <c:grouping val="standard"/>
        <c:ser>
          <c:idx val="0"/>
          <c:order val="0"/>
          <c:tx>
            <c:strRef>
              <c:f>'Movimentação Anual'!$A$29</c:f>
              <c:strCache>
                <c:ptCount val="1"/>
                <c:pt idx="0">
                  <c:v>Quantidade (ton)</c:v>
                </c:pt>
              </c:strCache>
            </c:strRef>
          </c:tx>
          <c:dPt>
            <c:idx val="8"/>
            <c:marker>
              <c:spPr>
                <a:solidFill>
                  <a:srgbClr val="FFFF00"/>
                </a:solidFill>
              </c:spPr>
            </c:marker>
          </c:dPt>
          <c:cat>
            <c:numRef>
              <c:f>'Movimentação Anual'!$B$28:$N$28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'Movimentação Anual'!$B$29:$N$29</c:f>
              <c:numCache>
                <c:formatCode>_-* #,##0_-;\-* #,##0_-;_-* "-"??_-;_-@_-</c:formatCode>
                <c:ptCount val="13"/>
                <c:pt idx="0">
                  <c:v>2341882</c:v>
                </c:pt>
                <c:pt idx="1">
                  <c:v>2613358</c:v>
                </c:pt>
                <c:pt idx="2">
                  <c:v>3145706</c:v>
                </c:pt>
                <c:pt idx="3">
                  <c:v>2596419</c:v>
                </c:pt>
                <c:pt idx="4">
                  <c:v>2981546</c:v>
                </c:pt>
                <c:pt idx="5">
                  <c:v>3096959</c:v>
                </c:pt>
                <c:pt idx="6">
                  <c:v>3111528</c:v>
                </c:pt>
                <c:pt idx="7">
                  <c:v>3397347</c:v>
                </c:pt>
                <c:pt idx="8">
                  <c:v>3759970</c:v>
                </c:pt>
                <c:pt idx="9">
                  <c:v>3578683</c:v>
                </c:pt>
                <c:pt idx="10">
                  <c:v>3945027</c:v>
                </c:pt>
                <c:pt idx="11">
                  <c:v>3888043</c:v>
                </c:pt>
                <c:pt idx="12">
                  <c:v>3776425</c:v>
                </c:pt>
              </c:numCache>
            </c:numRef>
          </c:val>
        </c:ser>
        <c:marker val="1"/>
        <c:axId val="44859392"/>
        <c:axId val="44860928"/>
      </c:lineChart>
      <c:catAx>
        <c:axId val="44859392"/>
        <c:scaling>
          <c:orientation val="minMax"/>
        </c:scaling>
        <c:axPos val="b"/>
        <c:numFmt formatCode="General" sourceLinked="1"/>
        <c:majorTickMark val="in"/>
        <c:minorTickMark val="out"/>
        <c:tickLblPos val="low"/>
        <c:crossAx val="44860928"/>
        <c:crossesAt val="1.0000000000000004E+279"/>
        <c:auto val="1"/>
        <c:lblAlgn val="ctr"/>
        <c:lblOffset val="100"/>
      </c:catAx>
      <c:valAx>
        <c:axId val="44860928"/>
        <c:scaling>
          <c:orientation val="minMax"/>
          <c:min val="1"/>
        </c:scaling>
        <c:axPos val="l"/>
        <c:majorGridlines/>
        <c:numFmt formatCode="_-* #,##0_-;\-* #,##0_-;_-* &quot;-&quot;??_-;_-@_-" sourceLinked="1"/>
        <c:tickLblPos val="nextTo"/>
        <c:crossAx val="44859392"/>
        <c:crosses val="autoZero"/>
        <c:crossBetween val="between"/>
        <c:majorUnit val="500000"/>
        <c:dispUnits>
          <c:builtInUnit val="thousands"/>
        </c:dispUnits>
      </c:valAx>
    </c:plotArea>
    <c:plotVisOnly val="1"/>
    <c:dispBlanksAs val="gap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/>
            </a:pPr>
            <a:r>
              <a:rPr lang="pt-BR" sz="1800" b="1" i="0" baseline="0">
                <a:effectLst/>
              </a:rPr>
              <a:t>Porto de Salvador - Movimentação de Conteiner Anual</a:t>
            </a:r>
            <a:endParaRPr lang="pt-BR">
              <a:effectLst/>
            </a:endParaRPr>
          </a:p>
          <a:p>
            <a:pPr algn="ctr">
              <a:defRPr/>
            </a:pPr>
            <a:r>
              <a:rPr lang="pt-BR" sz="800">
                <a:effectLst/>
              </a:rPr>
              <a:t>em unidades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'Movimentação de Conteiner Anual'!$A$18</c:f>
              <c:strCache>
                <c:ptCount val="1"/>
                <c:pt idx="0">
                  <c:v>Conteiner (unid)</c:v>
                </c:pt>
              </c:strCache>
            </c:strRef>
          </c:tx>
          <c:cat>
            <c:numRef>
              <c:f>'Movimentação de Conteiner Anual'!$B$17:$N$17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'Movimentação de Conteiner Anual'!$B$18:$N$18</c:f>
              <c:numCache>
                <c:formatCode>_-* #,##0_-;\-* #,##0_-;_-* "-"??_-;_-@_-</c:formatCode>
                <c:ptCount val="13"/>
                <c:pt idx="0">
                  <c:v>142289</c:v>
                </c:pt>
                <c:pt idx="1">
                  <c:v>144192</c:v>
                </c:pt>
                <c:pt idx="2">
                  <c:v>137123</c:v>
                </c:pt>
                <c:pt idx="3">
                  <c:v>134023</c:v>
                </c:pt>
                <c:pt idx="4">
                  <c:v>150011</c:v>
                </c:pt>
                <c:pt idx="5">
                  <c:v>154897</c:v>
                </c:pt>
                <c:pt idx="6">
                  <c:v>163776</c:v>
                </c:pt>
                <c:pt idx="7">
                  <c:v>173003</c:v>
                </c:pt>
                <c:pt idx="8">
                  <c:v>175966</c:v>
                </c:pt>
                <c:pt idx="9">
                  <c:v>177974</c:v>
                </c:pt>
                <c:pt idx="10">
                  <c:v>187504</c:v>
                </c:pt>
                <c:pt idx="11">
                  <c:v>184022</c:v>
                </c:pt>
                <c:pt idx="12">
                  <c:v>187115</c:v>
                </c:pt>
              </c:numCache>
            </c:numRef>
          </c:val>
        </c:ser>
        <c:axId val="44910464"/>
        <c:axId val="44912000"/>
      </c:barChart>
      <c:catAx>
        <c:axId val="44910464"/>
        <c:scaling>
          <c:orientation val="minMax"/>
        </c:scaling>
        <c:axPos val="b"/>
        <c:numFmt formatCode="General" sourceLinked="1"/>
        <c:tickLblPos val="nextTo"/>
        <c:crossAx val="44912000"/>
        <c:crosses val="autoZero"/>
        <c:auto val="1"/>
        <c:lblAlgn val="ctr"/>
        <c:lblOffset val="100"/>
      </c:catAx>
      <c:valAx>
        <c:axId val="44912000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4491046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163" footer="0.3149606200000016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Porto de Salvador - Movimentação de Carga Conteinerizada Anual</a:t>
            </a:r>
            <a:endParaRPr lang="pt-B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800"/>
              <a:t>em toneladas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'Movimentação de Conteiner Anual'!$B$38:$N$38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'Movimentação de Conteiner Anual'!$B$39:$N$39</c:f>
              <c:numCache>
                <c:formatCode>_-* #,##0_-;\-* #,##0_-;_-* "-"??_-;_-@_-</c:formatCode>
                <c:ptCount val="13"/>
                <c:pt idx="0">
                  <c:v>1454093</c:v>
                </c:pt>
                <c:pt idx="1">
                  <c:v>1866322</c:v>
                </c:pt>
                <c:pt idx="2">
                  <c:v>1886726</c:v>
                </c:pt>
                <c:pt idx="3">
                  <c:v>1927251</c:v>
                </c:pt>
                <c:pt idx="4">
                  <c:v>2224361</c:v>
                </c:pt>
                <c:pt idx="5">
                  <c:v>2378325</c:v>
                </c:pt>
                <c:pt idx="6">
                  <c:v>2507605</c:v>
                </c:pt>
                <c:pt idx="7">
                  <c:v>2675861</c:v>
                </c:pt>
                <c:pt idx="8">
                  <c:v>2849367</c:v>
                </c:pt>
                <c:pt idx="9">
                  <c:v>2985505</c:v>
                </c:pt>
                <c:pt idx="10">
                  <c:v>3197156</c:v>
                </c:pt>
                <c:pt idx="11">
                  <c:v>3132019</c:v>
                </c:pt>
                <c:pt idx="12">
                  <c:v>3108656</c:v>
                </c:pt>
              </c:numCache>
            </c:numRef>
          </c:val>
        </c:ser>
        <c:axId val="44919424"/>
        <c:axId val="44941696"/>
      </c:barChart>
      <c:catAx>
        <c:axId val="44919424"/>
        <c:scaling>
          <c:orientation val="minMax"/>
        </c:scaling>
        <c:axPos val="b"/>
        <c:numFmt formatCode="General" sourceLinked="1"/>
        <c:majorTickMark val="none"/>
        <c:tickLblPos val="nextTo"/>
        <c:crossAx val="44941696"/>
        <c:crosses val="autoZero"/>
        <c:auto val="1"/>
        <c:lblAlgn val="ctr"/>
        <c:lblOffset val="100"/>
      </c:catAx>
      <c:valAx>
        <c:axId val="44941696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44919424"/>
        <c:crosses val="autoZero"/>
        <c:crossBetween val="between"/>
      </c:valAx>
    </c:plotArea>
    <c:plotVisOnly val="1"/>
    <c:dispBlanksAs val="zero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Porto de Salvador - Contêiner¹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Movimentação mensal por unidade </a:t>
            </a:r>
          </a:p>
        </c:rich>
      </c:tx>
      <c:layout>
        <c:manualLayout>
          <c:xMode val="edge"/>
          <c:yMode val="edge"/>
          <c:x val="0.31530808393588833"/>
          <c:y val="2.7874564459930411E-2"/>
        </c:manualLayout>
      </c:layout>
    </c:title>
    <c:plotArea>
      <c:layout/>
      <c:barChart>
        <c:barDir val="col"/>
        <c:grouping val="clustered"/>
        <c:ser>
          <c:idx val="2"/>
          <c:order val="0"/>
          <c:tx>
            <c:strRef>
              <c:f>'Movimentação de Contêiner'!$A$27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de Contêiner'!$B$26:$M$26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de Contêiner'!$B$27:$M$27</c:f>
              <c:numCache>
                <c:formatCode>_-* #,##0_-;\-* #,##0_-;_-* "-"??_-;_-@_-</c:formatCode>
                <c:ptCount val="12"/>
                <c:pt idx="0">
                  <c:v>16485</c:v>
                </c:pt>
                <c:pt idx="1">
                  <c:v>14191</c:v>
                </c:pt>
              </c:numCache>
            </c:numRef>
          </c:val>
        </c:ser>
        <c:ser>
          <c:idx val="0"/>
          <c:order val="1"/>
          <c:tx>
            <c:strRef>
              <c:f>'Movimentação de Contêiner'!$A$28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de Contêiner'!$B$26:$M$26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de Contêiner'!$B$28:$M$28</c:f>
              <c:numCache>
                <c:formatCode>_-* #,##0_-;\-* #,##0_-;_-* "-"??_-;_-@_-</c:formatCode>
                <c:ptCount val="12"/>
                <c:pt idx="0">
                  <c:v>15004</c:v>
                </c:pt>
                <c:pt idx="1">
                  <c:v>13565</c:v>
                </c:pt>
                <c:pt idx="2">
                  <c:v>13262</c:v>
                </c:pt>
                <c:pt idx="3">
                  <c:v>13597</c:v>
                </c:pt>
                <c:pt idx="4">
                  <c:v>11914</c:v>
                </c:pt>
                <c:pt idx="5">
                  <c:v>13891</c:v>
                </c:pt>
                <c:pt idx="6">
                  <c:v>16281</c:v>
                </c:pt>
                <c:pt idx="7">
                  <c:v>19145</c:v>
                </c:pt>
                <c:pt idx="8">
                  <c:v>18931</c:v>
                </c:pt>
                <c:pt idx="9">
                  <c:v>19750</c:v>
                </c:pt>
                <c:pt idx="10">
                  <c:v>16420</c:v>
                </c:pt>
                <c:pt idx="11">
                  <c:v>15369</c:v>
                </c:pt>
              </c:numCache>
            </c:numRef>
          </c:val>
        </c:ser>
        <c:ser>
          <c:idx val="1"/>
          <c:order val="2"/>
          <c:tx>
            <c:strRef>
              <c:f>'Movimentação de Contêiner'!$A$29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de Contêiner'!$B$26:$M$26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de Contêiner'!$B$29:$M$29</c:f>
              <c:numCache>
                <c:formatCode>_-* #,##0_-;\-* #,##0_-;_-* "-"??_-;_-@_-</c:formatCode>
                <c:ptCount val="12"/>
                <c:pt idx="0">
                  <c:v>15557</c:v>
                </c:pt>
                <c:pt idx="1">
                  <c:v>12777</c:v>
                </c:pt>
                <c:pt idx="2">
                  <c:v>16264</c:v>
                </c:pt>
                <c:pt idx="3">
                  <c:v>15225</c:v>
                </c:pt>
                <c:pt idx="4">
                  <c:v>14243</c:v>
                </c:pt>
                <c:pt idx="5">
                  <c:v>12663</c:v>
                </c:pt>
                <c:pt idx="6">
                  <c:v>16249</c:v>
                </c:pt>
                <c:pt idx="7">
                  <c:v>12353</c:v>
                </c:pt>
                <c:pt idx="8">
                  <c:v>20167</c:v>
                </c:pt>
                <c:pt idx="9">
                  <c:v>18124</c:v>
                </c:pt>
                <c:pt idx="10">
                  <c:v>16379</c:v>
                </c:pt>
                <c:pt idx="11">
                  <c:v>14021</c:v>
                </c:pt>
              </c:numCache>
            </c:numRef>
          </c:val>
        </c:ser>
        <c:axId val="44964480"/>
        <c:axId val="44966272"/>
      </c:barChart>
      <c:catAx>
        <c:axId val="44964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966272"/>
        <c:crosses val="autoZero"/>
        <c:auto val="1"/>
        <c:lblAlgn val="ctr"/>
        <c:lblOffset val="100"/>
      </c:catAx>
      <c:valAx>
        <c:axId val="4496627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9644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847724</xdr:colOff>
      <xdr:row>26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15</xdr:col>
      <xdr:colOff>0</xdr:colOff>
      <xdr:row>15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128586</xdr:rowOff>
    </xdr:from>
    <xdr:to>
      <xdr:col>15</xdr:col>
      <xdr:colOff>0</xdr:colOff>
      <xdr:row>36</xdr:row>
      <xdr:rowOff>95249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24</xdr:row>
      <xdr:rowOff>152399</xdr:rowOff>
    </xdr:to>
    <xdr:graphicFrame macro="">
      <xdr:nvGraphicFramePr>
        <xdr:cNvPr id="106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P32"/>
  <sheetViews>
    <sheetView showGridLines="0" zoomScale="90" zoomScaleNormal="90" workbookViewId="0">
      <selection activeCell="O30" sqref="O30"/>
    </sheetView>
  </sheetViews>
  <sheetFormatPr defaultRowHeight="12.75"/>
  <cols>
    <col min="1" max="1" width="19.42578125" customWidth="1"/>
    <col min="2" max="7" width="11.140625" bestFit="1" customWidth="1"/>
    <col min="8" max="8" width="12.85546875" bestFit="1" customWidth="1"/>
    <col min="9" max="14" width="11.140625" bestFit="1" customWidth="1"/>
    <col min="15" max="15" width="12.85546875" bestFit="1" customWidth="1"/>
  </cols>
  <sheetData>
    <row r="28" spans="1:16">
      <c r="A28" s="30" t="s">
        <v>31</v>
      </c>
      <c r="B28" s="32">
        <v>2006</v>
      </c>
      <c r="C28" s="32">
        <v>2007</v>
      </c>
      <c r="D28" s="32">
        <v>2008</v>
      </c>
      <c r="E28" s="32">
        <v>2009</v>
      </c>
      <c r="F28" s="32">
        <v>2010</v>
      </c>
      <c r="G28" s="32">
        <v>2011</v>
      </c>
      <c r="H28" s="32">
        <v>2012</v>
      </c>
      <c r="I28" s="32">
        <v>2013</v>
      </c>
      <c r="J28" s="33">
        <v>2014</v>
      </c>
      <c r="K28" s="45">
        <v>2015</v>
      </c>
      <c r="L28" s="45">
        <v>2016</v>
      </c>
      <c r="M28" s="45">
        <v>2017</v>
      </c>
      <c r="N28" s="45">
        <v>2018</v>
      </c>
      <c r="O28" s="45" t="s">
        <v>46</v>
      </c>
    </row>
    <row r="29" spans="1:16">
      <c r="A29" s="29" t="s">
        <v>32</v>
      </c>
      <c r="B29" s="26">
        <v>2341882</v>
      </c>
      <c r="C29" s="26">
        <v>2613358</v>
      </c>
      <c r="D29" s="26">
        <v>3145706</v>
      </c>
      <c r="E29" s="26">
        <v>2596419</v>
      </c>
      <c r="F29" s="26">
        <v>2981546</v>
      </c>
      <c r="G29" s="26">
        <v>3096959</v>
      </c>
      <c r="H29" s="26">
        <v>3111528</v>
      </c>
      <c r="I29" s="26">
        <v>3397347</v>
      </c>
      <c r="J29" s="26">
        <v>3759970</v>
      </c>
      <c r="K29" s="46">
        <f>4155193-576510</f>
        <v>3578683</v>
      </c>
      <c r="L29" s="46">
        <f>4556828-611801</f>
        <v>3945027</v>
      </c>
      <c r="M29" s="46">
        <f>4501935-613892</f>
        <v>3888043</v>
      </c>
      <c r="N29" s="46">
        <f>4417286-640861</f>
        <v>3776425</v>
      </c>
      <c r="O29" s="46">
        <f>708008-100917</f>
        <v>607091</v>
      </c>
      <c r="P29" s="86"/>
    </row>
    <row r="30" spans="1:16">
      <c r="A30" s="18" t="s">
        <v>42</v>
      </c>
      <c r="B30" s="2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8"/>
    </row>
    <row r="31" spans="1:16">
      <c r="A31" s="18" t="s">
        <v>52</v>
      </c>
      <c r="B31" s="2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8"/>
    </row>
    <row r="32" spans="1:16">
      <c r="A32" t="s">
        <v>33</v>
      </c>
    </row>
  </sheetData>
  <pageMargins left="0.511811024" right="0.511811024" top="0.78740157499999996" bottom="0.78740157499999996" header="0.31496062000000002" footer="0.31496062000000002"/>
  <pageSetup paperSize="9" scale="84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41"/>
  <sheetViews>
    <sheetView topLeftCell="A10" workbookViewId="0">
      <selection activeCell="O40" sqref="O40"/>
    </sheetView>
  </sheetViews>
  <sheetFormatPr defaultRowHeight="12.75"/>
  <cols>
    <col min="1" max="1" width="16.28515625" bestFit="1" customWidth="1"/>
    <col min="2" max="14" width="10.28515625" bestFit="1" customWidth="1"/>
    <col min="15" max="15" width="11.28515625" bestFit="1" customWidth="1"/>
  </cols>
  <sheetData>
    <row r="17" spans="1:16">
      <c r="A17" s="30" t="s">
        <v>31</v>
      </c>
      <c r="B17" s="32">
        <v>2006</v>
      </c>
      <c r="C17" s="32">
        <v>2007</v>
      </c>
      <c r="D17" s="32">
        <v>2008</v>
      </c>
      <c r="E17" s="32">
        <v>2009</v>
      </c>
      <c r="F17" s="43">
        <v>2010</v>
      </c>
      <c r="G17" s="43">
        <v>2011</v>
      </c>
      <c r="H17" s="43">
        <v>2012</v>
      </c>
      <c r="I17" s="43">
        <v>2013</v>
      </c>
      <c r="J17" s="43">
        <v>2014</v>
      </c>
      <c r="K17" s="44">
        <v>2015</v>
      </c>
      <c r="L17" s="33">
        <v>2016</v>
      </c>
      <c r="M17" s="33">
        <v>2017</v>
      </c>
      <c r="N17" s="33">
        <v>2018</v>
      </c>
      <c r="O17" s="33" t="s">
        <v>47</v>
      </c>
    </row>
    <row r="18" spans="1:16">
      <c r="A18" s="30" t="s">
        <v>39</v>
      </c>
      <c r="B18" s="26">
        <v>142289</v>
      </c>
      <c r="C18" s="26">
        <v>144192</v>
      </c>
      <c r="D18" s="26">
        <v>137123</v>
      </c>
      <c r="E18" s="26">
        <v>134023</v>
      </c>
      <c r="F18" s="26">
        <v>150011</v>
      </c>
      <c r="G18" s="26">
        <v>154897</v>
      </c>
      <c r="H18" s="26">
        <v>163776</v>
      </c>
      <c r="I18" s="26">
        <v>173003</v>
      </c>
      <c r="J18" s="26">
        <v>175966</v>
      </c>
      <c r="K18" s="26">
        <v>177974</v>
      </c>
      <c r="L18" s="26">
        <v>187504</v>
      </c>
      <c r="M18" s="26">
        <v>184022</v>
      </c>
      <c r="N18" s="26">
        <v>187115</v>
      </c>
      <c r="O18" s="26">
        <v>30676</v>
      </c>
      <c r="P18" s="86"/>
    </row>
    <row r="19" spans="1:16">
      <c r="B19" s="3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38" spans="1:15">
      <c r="A38" s="30" t="s">
        <v>31</v>
      </c>
      <c r="B38" s="32">
        <v>2006</v>
      </c>
      <c r="C38" s="32">
        <v>2007</v>
      </c>
      <c r="D38" s="32">
        <v>2008</v>
      </c>
      <c r="E38" s="32">
        <v>2009</v>
      </c>
      <c r="F38" s="43">
        <v>2010</v>
      </c>
      <c r="G38" s="43">
        <v>2011</v>
      </c>
      <c r="H38" s="43">
        <v>2012</v>
      </c>
      <c r="I38" s="43">
        <v>2013</v>
      </c>
      <c r="J38" s="43">
        <v>2014</v>
      </c>
      <c r="K38" s="44">
        <v>2015</v>
      </c>
      <c r="L38" s="33">
        <v>2016</v>
      </c>
      <c r="M38" s="33">
        <v>2017</v>
      </c>
      <c r="N38" s="33">
        <v>2018</v>
      </c>
      <c r="O38" s="33" t="s">
        <v>47</v>
      </c>
    </row>
    <row r="39" spans="1:15">
      <c r="A39" s="30" t="s">
        <v>41</v>
      </c>
      <c r="B39" s="26">
        <v>1454093</v>
      </c>
      <c r="C39" s="26">
        <v>1866322</v>
      </c>
      <c r="D39" s="26">
        <v>1886726</v>
      </c>
      <c r="E39" s="26">
        <v>1927251</v>
      </c>
      <c r="F39" s="26">
        <v>2224361</v>
      </c>
      <c r="G39" s="26">
        <v>2378325</v>
      </c>
      <c r="H39" s="26">
        <v>2507605</v>
      </c>
      <c r="I39" s="26">
        <v>2675861</v>
      </c>
      <c r="J39" s="26">
        <v>2849367</v>
      </c>
      <c r="K39" s="26">
        <v>2985505</v>
      </c>
      <c r="L39" s="26">
        <v>3197156</v>
      </c>
      <c r="M39" s="26">
        <v>3132019</v>
      </c>
      <c r="N39" s="26">
        <v>3108656</v>
      </c>
      <c r="O39" s="26">
        <v>497509</v>
      </c>
    </row>
    <row r="40" spans="1:15" s="17" customFormat="1">
      <c r="A40" s="58" t="s">
        <v>53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>
      <c r="A41" s="18" t="s">
        <v>33</v>
      </c>
    </row>
  </sheetData>
  <pageMargins left="0.25" right="0.25" top="0.75" bottom="0.75" header="0.3" footer="0.3"/>
  <pageSetup paperSize="9" scale="9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0"/>
  <sheetViews>
    <sheetView showGridLines="0" workbookViewId="0">
      <selection activeCell="C28" sqref="C28"/>
    </sheetView>
  </sheetViews>
  <sheetFormatPr defaultRowHeight="12.75"/>
  <cols>
    <col min="1" max="1" width="9.5703125" bestFit="1" customWidth="1"/>
    <col min="2" max="13" width="10.28515625" style="1" bestFit="1" customWidth="1"/>
    <col min="14" max="14" width="11.28515625" style="1" bestFit="1" customWidth="1"/>
  </cols>
  <sheetData>
    <row r="2" spans="1:13" ht="15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8" spans="1:13" s="5" customFormat="1"/>
    <row r="23" spans="1:15" s="11" customFormat="1"/>
    <row r="24" spans="1:15">
      <c r="O24" s="12"/>
    </row>
    <row r="26" spans="1:15">
      <c r="A26" s="33" t="s">
        <v>0</v>
      </c>
      <c r="B26" s="36" t="s">
        <v>1</v>
      </c>
      <c r="C26" s="36" t="s">
        <v>2</v>
      </c>
      <c r="D26" s="36" t="s">
        <v>3</v>
      </c>
      <c r="E26" s="36" t="s">
        <v>4</v>
      </c>
      <c r="F26" s="36" t="s">
        <v>5</v>
      </c>
      <c r="G26" s="36" t="s">
        <v>6</v>
      </c>
      <c r="H26" s="36" t="s">
        <v>7</v>
      </c>
      <c r="I26" s="36" t="s">
        <v>8</v>
      </c>
      <c r="J26" s="36" t="s">
        <v>9</v>
      </c>
      <c r="K26" s="36" t="s">
        <v>10</v>
      </c>
      <c r="L26" s="36" t="s">
        <v>11</v>
      </c>
      <c r="M26" s="36" t="s">
        <v>12</v>
      </c>
      <c r="N26" s="51" t="s">
        <v>13</v>
      </c>
    </row>
    <row r="27" spans="1:15">
      <c r="A27" s="49">
        <v>2019</v>
      </c>
      <c r="B27" s="50">
        <v>16485</v>
      </c>
      <c r="C27" s="50">
        <v>14191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2">
        <f>SUM(B27:M27)</f>
        <v>30676</v>
      </c>
    </row>
    <row r="28" spans="1:15">
      <c r="A28" s="49">
        <v>2018</v>
      </c>
      <c r="B28" s="50">
        <v>15004</v>
      </c>
      <c r="C28" s="50">
        <v>13565</v>
      </c>
      <c r="D28" s="50">
        <v>13262</v>
      </c>
      <c r="E28" s="50">
        <v>13597</v>
      </c>
      <c r="F28" s="50">
        <v>11914</v>
      </c>
      <c r="G28" s="50">
        <v>13891</v>
      </c>
      <c r="H28" s="50">
        <v>16281</v>
      </c>
      <c r="I28" s="50">
        <v>19145</v>
      </c>
      <c r="J28" s="50">
        <v>18931</v>
      </c>
      <c r="K28" s="50">
        <v>19750</v>
      </c>
      <c r="L28" s="50">
        <v>16420</v>
      </c>
      <c r="M28" s="50">
        <v>15369</v>
      </c>
      <c r="N28" s="52">
        <f>SUM(B28:M28)</f>
        <v>187129</v>
      </c>
    </row>
    <row r="29" spans="1:15">
      <c r="A29" s="49">
        <v>2017</v>
      </c>
      <c r="B29" s="50">
        <v>15557</v>
      </c>
      <c r="C29" s="50">
        <v>12777</v>
      </c>
      <c r="D29" s="50">
        <v>16264</v>
      </c>
      <c r="E29" s="50">
        <v>15225</v>
      </c>
      <c r="F29" s="50">
        <v>14243</v>
      </c>
      <c r="G29" s="50">
        <v>12663</v>
      </c>
      <c r="H29" s="50">
        <v>16249</v>
      </c>
      <c r="I29" s="50">
        <f>12353</f>
        <v>12353</v>
      </c>
      <c r="J29" s="50">
        <v>20167</v>
      </c>
      <c r="K29" s="50">
        <v>18124</v>
      </c>
      <c r="L29" s="50">
        <v>16379</v>
      </c>
      <c r="M29" s="50">
        <f>14021</f>
        <v>14021</v>
      </c>
      <c r="N29" s="52">
        <f>SUM(B29:M29)</f>
        <v>184022</v>
      </c>
    </row>
    <row r="30" spans="1:15">
      <c r="A30" s="49">
        <v>2016</v>
      </c>
      <c r="B30" s="50">
        <v>13692</v>
      </c>
      <c r="C30" s="50">
        <v>13644</v>
      </c>
      <c r="D30" s="50">
        <v>17054</v>
      </c>
      <c r="E30" s="50">
        <v>16622</v>
      </c>
      <c r="F30" s="50">
        <v>14018</v>
      </c>
      <c r="G30" s="50">
        <v>16817</v>
      </c>
      <c r="H30" s="50">
        <v>15785</v>
      </c>
      <c r="I30" s="50">
        <v>16504</v>
      </c>
      <c r="J30" s="50">
        <v>17120</v>
      </c>
      <c r="K30" s="50">
        <v>18107</v>
      </c>
      <c r="L30" s="50">
        <v>13572</v>
      </c>
      <c r="M30" s="50">
        <v>14568</v>
      </c>
      <c r="N30" s="52">
        <v>187503</v>
      </c>
    </row>
    <row r="31" spans="1:15">
      <c r="A31" s="49">
        <v>2015</v>
      </c>
      <c r="B31" s="50">
        <v>13001</v>
      </c>
      <c r="C31" s="50">
        <v>13085</v>
      </c>
      <c r="D31" s="50">
        <v>12305</v>
      </c>
      <c r="E31" s="50">
        <v>15382</v>
      </c>
      <c r="F31" s="50">
        <v>14304</v>
      </c>
      <c r="G31" s="50">
        <v>13015</v>
      </c>
      <c r="H31" s="50">
        <v>16170</v>
      </c>
      <c r="I31" s="50">
        <v>16719</v>
      </c>
      <c r="J31" s="50">
        <v>18079</v>
      </c>
      <c r="K31" s="50">
        <v>16768</v>
      </c>
      <c r="L31" s="50">
        <v>15410</v>
      </c>
      <c r="M31" s="50">
        <v>13736</v>
      </c>
      <c r="N31" s="52">
        <v>177974</v>
      </c>
    </row>
    <row r="32" spans="1:15" s="17" customFormat="1">
      <c r="A32" s="49">
        <v>2014</v>
      </c>
      <c r="B32" s="50">
        <v>13236</v>
      </c>
      <c r="C32" s="50">
        <v>13121</v>
      </c>
      <c r="D32" s="50">
        <v>15440</v>
      </c>
      <c r="E32" s="50">
        <v>13328</v>
      </c>
      <c r="F32" s="50">
        <v>14004</v>
      </c>
      <c r="G32" s="50">
        <v>13453</v>
      </c>
      <c r="H32" s="50">
        <v>13699</v>
      </c>
      <c r="I32" s="50">
        <v>17549</v>
      </c>
      <c r="J32" s="50">
        <v>15310</v>
      </c>
      <c r="K32" s="50">
        <v>16951</v>
      </c>
      <c r="L32" s="50">
        <v>16528</v>
      </c>
      <c r="M32" s="50">
        <v>13337</v>
      </c>
      <c r="N32" s="52">
        <v>175956</v>
      </c>
    </row>
    <row r="33" spans="1:14">
      <c r="A33" s="49">
        <v>2013</v>
      </c>
      <c r="B33" s="50">
        <v>10935</v>
      </c>
      <c r="C33" s="50">
        <v>12977</v>
      </c>
      <c r="D33" s="50">
        <v>13281</v>
      </c>
      <c r="E33" s="50">
        <v>16180</v>
      </c>
      <c r="F33" s="50">
        <v>14644</v>
      </c>
      <c r="G33" s="50">
        <v>12773</v>
      </c>
      <c r="H33" s="50">
        <v>14997</v>
      </c>
      <c r="I33" s="50">
        <v>15415</v>
      </c>
      <c r="J33" s="50">
        <v>14598</v>
      </c>
      <c r="K33" s="50">
        <v>17161</v>
      </c>
      <c r="L33" s="50">
        <v>14483</v>
      </c>
      <c r="M33" s="50">
        <v>15559</v>
      </c>
      <c r="N33" s="52">
        <v>173003</v>
      </c>
    </row>
    <row r="34" spans="1:14">
      <c r="A34" s="49">
        <v>2012</v>
      </c>
      <c r="B34" s="50">
        <v>12678</v>
      </c>
      <c r="C34" s="50">
        <v>12047</v>
      </c>
      <c r="D34" s="50">
        <v>13775</v>
      </c>
      <c r="E34" s="50">
        <v>13182</v>
      </c>
      <c r="F34" s="50">
        <v>12434</v>
      </c>
      <c r="G34" s="50">
        <v>13574</v>
      </c>
      <c r="H34" s="50">
        <v>12534</v>
      </c>
      <c r="I34" s="50">
        <v>16269</v>
      </c>
      <c r="J34" s="50">
        <v>15897</v>
      </c>
      <c r="K34" s="50">
        <v>15095</v>
      </c>
      <c r="L34" s="50">
        <v>13682</v>
      </c>
      <c r="M34" s="50">
        <v>12609</v>
      </c>
      <c r="N34" s="52">
        <v>163776</v>
      </c>
    </row>
    <row r="35" spans="1:14">
      <c r="A35" s="49">
        <v>2011</v>
      </c>
      <c r="B35" s="14">
        <v>12807</v>
      </c>
      <c r="C35" s="14">
        <v>10938</v>
      </c>
      <c r="D35" s="14">
        <v>13086</v>
      </c>
      <c r="E35" s="14">
        <v>13421</v>
      </c>
      <c r="F35" s="14">
        <v>12800</v>
      </c>
      <c r="G35" s="14">
        <v>11426</v>
      </c>
      <c r="H35" s="14">
        <v>13063</v>
      </c>
      <c r="I35" s="14">
        <v>16861</v>
      </c>
      <c r="J35" s="14">
        <v>14392</v>
      </c>
      <c r="K35" s="14">
        <v>13290</v>
      </c>
      <c r="L35" s="14">
        <v>12955</v>
      </c>
      <c r="M35" s="14">
        <v>9858</v>
      </c>
      <c r="N35" s="90">
        <v>154897</v>
      </c>
    </row>
    <row r="36" spans="1:14">
      <c r="A36" s="49">
        <v>2010</v>
      </c>
      <c r="B36" s="2">
        <v>9522</v>
      </c>
      <c r="C36" s="2">
        <v>9750</v>
      </c>
      <c r="D36" s="2">
        <v>13006</v>
      </c>
      <c r="E36" s="2">
        <v>11027</v>
      </c>
      <c r="F36" s="2">
        <v>12771</v>
      </c>
      <c r="G36" s="2">
        <v>13258</v>
      </c>
      <c r="H36" s="2">
        <v>12182</v>
      </c>
      <c r="I36" s="2">
        <v>13188</v>
      </c>
      <c r="J36" s="2">
        <v>14239</v>
      </c>
      <c r="K36" s="2">
        <v>16084</v>
      </c>
      <c r="L36" s="2">
        <v>12812</v>
      </c>
      <c r="M36" s="2">
        <v>12172</v>
      </c>
      <c r="N36" s="91">
        <v>150011</v>
      </c>
    </row>
    <row r="37" spans="1:14">
      <c r="A37" s="49">
        <v>2009</v>
      </c>
      <c r="B37" s="34">
        <v>6426</v>
      </c>
      <c r="C37" s="34">
        <v>8839</v>
      </c>
      <c r="D37" s="34">
        <v>12475</v>
      </c>
      <c r="E37" s="34">
        <v>11479</v>
      </c>
      <c r="F37" s="34">
        <v>11180</v>
      </c>
      <c r="G37" s="34">
        <v>12849</v>
      </c>
      <c r="H37" s="34">
        <v>14188</v>
      </c>
      <c r="I37" s="34">
        <v>12181</v>
      </c>
      <c r="J37" s="34">
        <v>9839</v>
      </c>
      <c r="K37" s="34">
        <v>11503</v>
      </c>
      <c r="L37" s="34">
        <v>11864</v>
      </c>
      <c r="M37" s="34">
        <v>11200</v>
      </c>
      <c r="N37" s="92">
        <v>134023</v>
      </c>
    </row>
    <row r="38" spans="1:14">
      <c r="A38" s="89">
        <v>2008</v>
      </c>
      <c r="B38" s="35">
        <v>12014</v>
      </c>
      <c r="C38" s="35">
        <v>10824</v>
      </c>
      <c r="D38" s="35">
        <v>10759</v>
      </c>
      <c r="E38" s="35">
        <v>10114</v>
      </c>
      <c r="F38" s="35">
        <v>11560</v>
      </c>
      <c r="G38" s="35">
        <v>10842</v>
      </c>
      <c r="H38" s="35">
        <v>10762</v>
      </c>
      <c r="I38" s="35">
        <v>12853</v>
      </c>
      <c r="J38" s="35">
        <v>12962</v>
      </c>
      <c r="K38" s="35">
        <v>13290</v>
      </c>
      <c r="L38" s="35">
        <v>12430</v>
      </c>
      <c r="M38" s="35">
        <v>8713</v>
      </c>
      <c r="N38" s="93">
        <v>137123</v>
      </c>
    </row>
    <row r="39" spans="1:14">
      <c r="A39" s="17" t="s">
        <v>38</v>
      </c>
    </row>
    <row r="40" spans="1:14">
      <c r="A40" s="10" t="s">
        <v>19</v>
      </c>
    </row>
  </sheetData>
  <sheetProtection selectLockedCells="1" selectUnlockedCells="1"/>
  <mergeCells count="1">
    <mergeCell ref="A2:M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showGridLines="0" workbookViewId="0">
      <selection activeCell="R8" sqref="R8"/>
    </sheetView>
  </sheetViews>
  <sheetFormatPr defaultRowHeight="12.75"/>
  <cols>
    <col min="1" max="1" width="32.42578125" bestFit="1" customWidth="1"/>
    <col min="2" max="2" width="7.7109375" bestFit="1" customWidth="1"/>
    <col min="3" max="11" width="9.28515625" bestFit="1" customWidth="1"/>
  </cols>
  <sheetData>
    <row r="2" spans="1:20" ht="15.75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47"/>
      <c r="P2" s="87"/>
      <c r="Q2" s="87"/>
    </row>
    <row r="3" spans="1:20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48"/>
      <c r="P3" s="88"/>
      <c r="Q3" s="88"/>
    </row>
    <row r="4" spans="1:20" ht="13.5" thickBot="1">
      <c r="L4" s="13"/>
      <c r="M4" s="13"/>
      <c r="N4" s="13"/>
      <c r="O4" s="13"/>
      <c r="P4" s="13"/>
      <c r="Q4" s="13"/>
    </row>
    <row r="5" spans="1:20" s="7" customFormat="1" ht="13.5" thickBot="1">
      <c r="A5" s="40" t="s">
        <v>14</v>
      </c>
      <c r="B5" s="41">
        <v>2003</v>
      </c>
      <c r="C5" s="41">
        <v>2004</v>
      </c>
      <c r="D5" s="41">
        <v>2005</v>
      </c>
      <c r="E5" s="41">
        <v>2006</v>
      </c>
      <c r="F5" s="41">
        <v>2007</v>
      </c>
      <c r="G5" s="41">
        <v>2008</v>
      </c>
      <c r="H5" s="41">
        <v>2009</v>
      </c>
      <c r="I5" s="41">
        <v>2010</v>
      </c>
      <c r="J5" s="41">
        <v>2011</v>
      </c>
      <c r="K5" s="41">
        <v>2012</v>
      </c>
      <c r="L5" s="41">
        <v>2013</v>
      </c>
      <c r="M5" s="65">
        <v>2014</v>
      </c>
      <c r="N5" s="65">
        <v>2015</v>
      </c>
      <c r="O5" s="65">
        <v>2016</v>
      </c>
      <c r="P5" s="65">
        <v>2017</v>
      </c>
      <c r="Q5" s="65">
        <v>2018</v>
      </c>
      <c r="R5" s="66" t="s">
        <v>46</v>
      </c>
    </row>
    <row r="6" spans="1:20" s="6" customFormat="1" ht="13.5" thickBot="1">
      <c r="A6" s="67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6"/>
      <c r="L6" s="96"/>
      <c r="M6" s="96"/>
      <c r="N6" s="96"/>
      <c r="O6" s="96"/>
      <c r="P6" s="96"/>
      <c r="Q6" s="96"/>
      <c r="R6" s="94"/>
    </row>
    <row r="7" spans="1:20">
      <c r="A7" s="62" t="s">
        <v>15</v>
      </c>
      <c r="B7" s="4">
        <v>619</v>
      </c>
      <c r="C7" s="4">
        <v>536</v>
      </c>
      <c r="D7" s="4">
        <v>629</v>
      </c>
      <c r="E7" s="4">
        <v>615</v>
      </c>
      <c r="F7" s="4">
        <v>617</v>
      </c>
      <c r="G7" s="4">
        <v>531</v>
      </c>
      <c r="H7" s="4">
        <f>23+60+494</f>
        <v>577</v>
      </c>
      <c r="I7" s="16">
        <v>514</v>
      </c>
      <c r="J7" s="37">
        <f>455</f>
        <v>455</v>
      </c>
      <c r="K7" s="37">
        <v>454</v>
      </c>
      <c r="L7" s="37">
        <v>482</v>
      </c>
      <c r="M7" s="59">
        <f>105+60+302</f>
        <v>467</v>
      </c>
      <c r="N7" s="59">
        <f>5+80+393</f>
        <v>478</v>
      </c>
      <c r="O7" s="59">
        <f>444+45+2</f>
        <v>491</v>
      </c>
      <c r="P7" s="59">
        <v>466</v>
      </c>
      <c r="Q7" s="59">
        <v>456</v>
      </c>
      <c r="R7" s="60">
        <v>39</v>
      </c>
      <c r="T7" s="86"/>
    </row>
    <row r="8" spans="1:20">
      <c r="A8" s="63" t="s">
        <v>22</v>
      </c>
      <c r="B8" s="2">
        <v>90.46</v>
      </c>
      <c r="C8" s="2">
        <v>82.02</v>
      </c>
      <c r="D8" s="2">
        <v>125.63</v>
      </c>
      <c r="E8" s="2">
        <v>223.13</v>
      </c>
      <c r="F8" s="2">
        <v>192.38</v>
      </c>
      <c r="G8" s="2">
        <v>175.11</v>
      </c>
      <c r="H8" s="2">
        <v>54.11</v>
      </c>
      <c r="I8" s="15">
        <v>101</v>
      </c>
      <c r="J8" s="38" t="s">
        <v>36</v>
      </c>
      <c r="K8" s="38">
        <v>215.00694444444446</v>
      </c>
      <c r="L8" s="38" t="s">
        <v>40</v>
      </c>
      <c r="M8" s="38" t="s">
        <v>40</v>
      </c>
      <c r="N8" s="38" t="s">
        <v>36</v>
      </c>
      <c r="O8" s="38" t="s">
        <v>36</v>
      </c>
      <c r="P8" s="38" t="s">
        <v>36</v>
      </c>
      <c r="Q8" s="38" t="s">
        <v>40</v>
      </c>
      <c r="R8" s="24" t="s">
        <v>34</v>
      </c>
    </row>
    <row r="9" spans="1:20" ht="13.5" thickBot="1">
      <c r="A9" s="64" t="s">
        <v>16</v>
      </c>
      <c r="B9" s="3">
        <f t="shared" ref="B9:H9" si="0">(B8*24)/B7</f>
        <v>3.507334410339257</v>
      </c>
      <c r="C9" s="3">
        <f t="shared" si="0"/>
        <v>3.6725373134328358</v>
      </c>
      <c r="D9" s="3">
        <f t="shared" si="0"/>
        <v>4.7935135135135134</v>
      </c>
      <c r="E9" s="3">
        <f t="shared" si="0"/>
        <v>8.7075121951219518</v>
      </c>
      <c r="F9" s="3">
        <f t="shared" si="0"/>
        <v>7.4831766612641815</v>
      </c>
      <c r="G9" s="3">
        <f t="shared" si="0"/>
        <v>7.9145762711864416</v>
      </c>
      <c r="H9" s="3">
        <f t="shared" si="0"/>
        <v>2.2506759098786828</v>
      </c>
      <c r="I9" s="3">
        <f>(I8*24)/I7</f>
        <v>4.7159533073929962</v>
      </c>
      <c r="J9" s="39" t="s">
        <v>27</v>
      </c>
      <c r="K9" s="39">
        <v>11.366005873715125</v>
      </c>
      <c r="L9" s="39" t="s">
        <v>27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53">
        <v>0</v>
      </c>
    </row>
    <row r="10" spans="1:20" s="20" customFormat="1">
      <c r="A10" s="25" t="s">
        <v>37</v>
      </c>
    </row>
    <row r="11" spans="1:20" s="20" customFormat="1">
      <c r="A11" s="68" t="s">
        <v>52</v>
      </c>
    </row>
    <row r="12" spans="1:20">
      <c r="A12" s="9" t="s">
        <v>18</v>
      </c>
    </row>
    <row r="13" spans="1:20">
      <c r="A13" s="8"/>
    </row>
    <row r="14" spans="1:20">
      <c r="A14" s="17"/>
    </row>
    <row r="15" spans="1:20">
      <c r="R15" s="23"/>
    </row>
    <row r="30" spans="22:22">
      <c r="V30">
        <f>393+80+5</f>
        <v>478</v>
      </c>
    </row>
  </sheetData>
  <sheetProtection selectLockedCells="1" selectUnlockedCells="1"/>
  <mergeCells count="2">
    <mergeCell ref="A2:N2"/>
    <mergeCell ref="A3:N3"/>
  </mergeCells>
  <phoneticPr fontId="0" type="noConversion"/>
  <pageMargins left="0.25" right="0.25" top="0.75" bottom="0.75" header="0.3" footer="0.3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2"/>
  <sheetViews>
    <sheetView showGridLines="0" workbookViewId="0">
      <selection activeCell="A12" sqref="A12"/>
    </sheetView>
  </sheetViews>
  <sheetFormatPr defaultRowHeight="12.75"/>
  <cols>
    <col min="1" max="1" width="35.42578125" bestFit="1" customWidth="1"/>
    <col min="2" max="2" width="10.85546875" bestFit="1" customWidth="1"/>
  </cols>
  <sheetData>
    <row r="2" spans="1:18" ht="15.75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47"/>
      <c r="P2" s="76"/>
    </row>
    <row r="3" spans="1:18">
      <c r="A3" s="98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48"/>
      <c r="P3" s="77"/>
    </row>
    <row r="4" spans="1:18" ht="13.5" thickBot="1">
      <c r="A4" s="17"/>
    </row>
    <row r="5" spans="1:18" ht="13.5" thickBot="1">
      <c r="A5" s="99" t="s">
        <v>23</v>
      </c>
      <c r="B5" s="101" t="s">
        <v>28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18" ht="13.5" thickBot="1">
      <c r="A6" s="100"/>
      <c r="B6" s="84">
        <v>2004</v>
      </c>
      <c r="C6" s="71">
        <v>2005</v>
      </c>
      <c r="D6" s="72">
        <v>2006</v>
      </c>
      <c r="E6" s="72">
        <v>2007</v>
      </c>
      <c r="F6" s="71">
        <v>2008</v>
      </c>
      <c r="G6" s="73">
        <v>2009</v>
      </c>
      <c r="H6" s="72">
        <v>2010</v>
      </c>
      <c r="I6" s="71">
        <v>2011</v>
      </c>
      <c r="J6" s="72">
        <v>2012</v>
      </c>
      <c r="K6" s="72">
        <v>2013</v>
      </c>
      <c r="L6" s="73">
        <v>2014</v>
      </c>
      <c r="M6" s="73">
        <v>2015</v>
      </c>
      <c r="N6" s="73">
        <v>2016</v>
      </c>
      <c r="O6" s="73">
        <v>2017</v>
      </c>
      <c r="P6" s="73">
        <v>2018</v>
      </c>
      <c r="Q6" s="74" t="s">
        <v>45</v>
      </c>
    </row>
    <row r="7" spans="1:18" ht="13.5" thickBot="1">
      <c r="A7" s="19" t="s">
        <v>43</v>
      </c>
      <c r="B7" s="83">
        <v>14.7</v>
      </c>
      <c r="C7" s="69">
        <v>15</v>
      </c>
      <c r="D7" s="69">
        <v>13</v>
      </c>
      <c r="E7" s="69">
        <v>13</v>
      </c>
      <c r="F7" s="69">
        <v>16</v>
      </c>
      <c r="G7" s="69">
        <v>11</v>
      </c>
      <c r="H7" s="69">
        <v>12</v>
      </c>
      <c r="I7" s="69">
        <v>0</v>
      </c>
      <c r="J7" s="69">
        <v>21</v>
      </c>
      <c r="K7" s="69">
        <v>23</v>
      </c>
      <c r="L7" s="69">
        <v>20</v>
      </c>
      <c r="M7" s="69">
        <v>23</v>
      </c>
      <c r="N7" s="69">
        <v>31</v>
      </c>
      <c r="O7" s="69">
        <v>25</v>
      </c>
      <c r="P7" s="69">
        <v>28</v>
      </c>
      <c r="Q7" s="70">
        <v>16</v>
      </c>
      <c r="R7" s="86"/>
    </row>
    <row r="8" spans="1:18" ht="13.5" thickBot="1">
      <c r="A8" s="75" t="s">
        <v>44</v>
      </c>
      <c r="B8" s="80">
        <v>28</v>
      </c>
      <c r="C8" s="81">
        <v>28</v>
      </c>
      <c r="D8" s="81">
        <v>29.6</v>
      </c>
      <c r="E8" s="81">
        <v>32</v>
      </c>
      <c r="F8" s="81">
        <v>34</v>
      </c>
      <c r="G8" s="81">
        <v>33</v>
      </c>
      <c r="H8" s="81">
        <v>33</v>
      </c>
      <c r="I8" s="81">
        <v>31</v>
      </c>
      <c r="J8" s="81">
        <v>33</v>
      </c>
      <c r="K8" s="81">
        <v>37</v>
      </c>
      <c r="L8" s="81">
        <v>40</v>
      </c>
      <c r="M8" s="81">
        <v>40</v>
      </c>
      <c r="N8" s="81">
        <v>44</v>
      </c>
      <c r="O8" s="81">
        <v>41</v>
      </c>
      <c r="P8" s="81">
        <v>52</v>
      </c>
      <c r="Q8" s="82">
        <v>58</v>
      </c>
      <c r="R8" s="85"/>
    </row>
    <row r="9" spans="1:18">
      <c r="A9" s="17" t="s">
        <v>29</v>
      </c>
    </row>
    <row r="10" spans="1:18">
      <c r="A10" s="18" t="s">
        <v>35</v>
      </c>
    </row>
    <row r="11" spans="1:18">
      <c r="A11" s="18" t="s">
        <v>54</v>
      </c>
    </row>
    <row r="12" spans="1:18">
      <c r="A12" s="17" t="s">
        <v>19</v>
      </c>
    </row>
  </sheetData>
  <mergeCells count="4">
    <mergeCell ref="A5:A6"/>
    <mergeCell ref="A2:N2"/>
    <mergeCell ref="A3:N3"/>
    <mergeCell ref="B5:Q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4"/>
  <sheetViews>
    <sheetView showGridLines="0" tabSelected="1" workbookViewId="0">
      <selection activeCell="A12" sqref="A12"/>
    </sheetView>
  </sheetViews>
  <sheetFormatPr defaultRowHeight="12.75"/>
  <cols>
    <col min="1" max="1" width="22.85546875" bestFit="1" customWidth="1"/>
    <col min="9" max="9" width="8.28515625" customWidth="1"/>
    <col min="11" max="11" width="7.85546875" customWidth="1"/>
    <col min="13" max="14" width="10" bestFit="1" customWidth="1"/>
    <col min="15" max="15" width="8.5703125" bestFit="1" customWidth="1"/>
    <col min="16" max="17" width="8.5703125" customWidth="1"/>
  </cols>
  <sheetData>
    <row r="2" spans="1:19" ht="15.75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9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9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9">
      <c r="A5" s="104" t="s">
        <v>26</v>
      </c>
      <c r="B5" s="104"/>
      <c r="C5" s="31">
        <v>2004</v>
      </c>
      <c r="D5" s="31">
        <v>2005</v>
      </c>
      <c r="E5" s="31">
        <v>2006</v>
      </c>
      <c r="F5" s="31">
        <v>2007</v>
      </c>
      <c r="G5" s="31">
        <v>2008</v>
      </c>
      <c r="H5" s="31">
        <v>2009</v>
      </c>
      <c r="I5" s="31">
        <v>2010</v>
      </c>
      <c r="J5" s="31">
        <v>2011</v>
      </c>
      <c r="K5" s="31">
        <v>2012</v>
      </c>
      <c r="L5" s="31">
        <v>2013</v>
      </c>
      <c r="M5" s="42">
        <v>2014</v>
      </c>
      <c r="N5" s="42">
        <v>2015</v>
      </c>
      <c r="O5" s="42">
        <v>2016</v>
      </c>
      <c r="P5" s="42">
        <v>2017</v>
      </c>
      <c r="Q5" s="42">
        <v>2018</v>
      </c>
      <c r="R5" s="42" t="s">
        <v>48</v>
      </c>
    </row>
    <row r="6" spans="1:19">
      <c r="A6" s="103" t="s">
        <v>55</v>
      </c>
      <c r="B6" s="103"/>
      <c r="C6" s="105">
        <f>1265048/(593737+1265048)</f>
        <v>0.68057790438377752</v>
      </c>
      <c r="D6" s="105">
        <f>1318389/(745360+1318389)</f>
        <v>0.63883204788954473</v>
      </c>
      <c r="E6" s="105">
        <f>1454093/(499610+1454093)</f>
        <v>0.74427535812761714</v>
      </c>
      <c r="F6" s="105">
        <f>1866322/(311245+1866322)</f>
        <v>0.8570675437311458</v>
      </c>
      <c r="G6" s="105">
        <f>1886726/(280281+1886726)</f>
        <v>0.87065985481357466</v>
      </c>
      <c r="H6" s="105">
        <f>1927251/(277273+1927251)</f>
        <v>0.87422545637969917</v>
      </c>
      <c r="I6" s="105">
        <f>2224361/(249374+2224361)</f>
        <v>0.89919130383812329</v>
      </c>
      <c r="J6" s="105">
        <f>2378325/(2378325+260978)</f>
        <v>0.90111859077945955</v>
      </c>
      <c r="K6" s="105">
        <f>2507605/(227726+2507605)</f>
        <v>0.91674645591337944</v>
      </c>
      <c r="L6" s="105">
        <f>2675861/(196516+2675861)</f>
        <v>0.93158418967983658</v>
      </c>
      <c r="M6" s="105">
        <f>2849367/(201536+2849367)</f>
        <v>0.93394218039708243</v>
      </c>
      <c r="N6" s="105">
        <f>2985505/(256467+2985505)</f>
        <v>0.92089166717047521</v>
      </c>
      <c r="O6" s="105">
        <f>3197156/(268737+3197156)</f>
        <v>0.92246240723530704</v>
      </c>
      <c r="P6" s="106">
        <f>3132019/(284472+3132019)</f>
        <v>0.91673562143146292</v>
      </c>
      <c r="Q6" s="106">
        <f>3108656/(239528+3108656)</f>
        <v>0.92846032356644681</v>
      </c>
      <c r="R6" s="106">
        <f>497509/(36457+497509)</f>
        <v>0.93172411726589333</v>
      </c>
      <c r="S6" s="86"/>
    </row>
    <row r="7" spans="1:19">
      <c r="A7" s="103" t="s">
        <v>49</v>
      </c>
      <c r="B7" s="103"/>
      <c r="C7" s="56">
        <f>121968/(9+9+518)</f>
        <v>227.55223880597015</v>
      </c>
      <c r="D7" s="56">
        <f>131686/(59+14+556)</f>
        <v>209.35771065182831</v>
      </c>
      <c r="E7" s="56">
        <f>142289/(15+62+538)</f>
        <v>231.36422764227643</v>
      </c>
      <c r="F7" s="56">
        <f>143939/(4+9+604)</f>
        <v>233.28849270664506</v>
      </c>
      <c r="G7" s="56">
        <f>137123/(8+9+514)</f>
        <v>258.23540489642187</v>
      </c>
      <c r="H7" s="56">
        <f>133382/(23+60+494)</f>
        <v>231.16464471403813</v>
      </c>
      <c r="I7" s="56">
        <f>150011/(8+2+504)</f>
        <v>291.85019455252916</v>
      </c>
      <c r="J7" s="56">
        <f>154897/(4+41+410)</f>
        <v>340.43296703296704</v>
      </c>
      <c r="K7" s="56">
        <f>163776/457</f>
        <v>358.37199124726476</v>
      </c>
      <c r="L7" s="57">
        <f>173003/(444+28+10)</f>
        <v>358.92738589211621</v>
      </c>
      <c r="M7" s="57">
        <f>175966/(105+60+302)</f>
        <v>376.80085653104925</v>
      </c>
      <c r="N7" s="56">
        <f>177900/(5+80+393)</f>
        <v>372.17573221757323</v>
      </c>
      <c r="O7" s="56">
        <f>187504/(2+45+444)</f>
        <v>381.88187372708757</v>
      </c>
      <c r="P7" s="79">
        <f>184022/(34+432)</f>
        <v>394.89699570815452</v>
      </c>
      <c r="Q7" s="79">
        <f>187115/456</f>
        <v>410.33991228070175</v>
      </c>
      <c r="R7" s="79">
        <f>30676/79</f>
        <v>388.30379746835445</v>
      </c>
      <c r="S7" s="86"/>
    </row>
    <row r="8" spans="1:19">
      <c r="A8" s="103" t="s">
        <v>30</v>
      </c>
      <c r="B8" s="103"/>
      <c r="C8" s="54">
        <f>1265048/(34963+40918)</f>
        <v>16.671472437105468</v>
      </c>
      <c r="D8" s="54">
        <f>1318389/82326</f>
        <v>16.014248232636106</v>
      </c>
      <c r="E8" s="54">
        <f>1454093/91486</f>
        <v>15.89415866908598</v>
      </c>
      <c r="F8" s="54">
        <f>1866322/98366</f>
        <v>18.973242787141899</v>
      </c>
      <c r="G8" s="54">
        <f>1886726/97622</f>
        <v>19.326852553727644</v>
      </c>
      <c r="H8" s="54">
        <f>1927251/(133382)</f>
        <v>14.449108575369991</v>
      </c>
      <c r="I8" s="54">
        <f>2224361/111112</f>
        <v>20.019088847289222</v>
      </c>
      <c r="J8" s="54">
        <f>2378325/113278</f>
        <v>20.995471318349548</v>
      </c>
      <c r="K8" s="54">
        <f>2507605/116998</f>
        <v>21.432887741670797</v>
      </c>
      <c r="L8" s="55">
        <f>2675861/125019</f>
        <v>21.403634647533575</v>
      </c>
      <c r="M8" s="55">
        <f>2849367/126626</f>
        <v>22.502227030783569</v>
      </c>
      <c r="N8" s="54">
        <f>2985505/133214</f>
        <v>22.411345654360652</v>
      </c>
      <c r="O8" s="54">
        <f>3197156/141162</f>
        <v>22.648843173091908</v>
      </c>
      <c r="P8" s="78">
        <f>3132019/144200</f>
        <v>21.719965325936201</v>
      </c>
      <c r="Q8" s="78">
        <f>3108656/149265</f>
        <v>20.826422805078217</v>
      </c>
      <c r="R8" s="78">
        <f>497509/23799</f>
        <v>20.904617841085759</v>
      </c>
      <c r="S8" s="86"/>
    </row>
    <row r="9" spans="1:19">
      <c r="A9" t="s">
        <v>50</v>
      </c>
    </row>
    <row r="10" spans="1:19">
      <c r="A10" t="s">
        <v>51</v>
      </c>
    </row>
    <row r="11" spans="1:19">
      <c r="A11" s="17" t="s">
        <v>52</v>
      </c>
    </row>
    <row r="12" spans="1:19">
      <c r="A12" t="s">
        <v>19</v>
      </c>
      <c r="O12" s="23"/>
      <c r="P12" s="23"/>
      <c r="Q12" s="23"/>
    </row>
    <row r="14" spans="1:19">
      <c r="O14" s="22"/>
      <c r="P14" s="22"/>
      <c r="Q14" s="22"/>
    </row>
  </sheetData>
  <mergeCells count="6">
    <mergeCell ref="A8:B8"/>
    <mergeCell ref="A2:N2"/>
    <mergeCell ref="A3:N3"/>
    <mergeCell ref="A5:B5"/>
    <mergeCell ref="A6:B6"/>
    <mergeCell ref="A7:B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Movimentação Anual</vt:lpstr>
      <vt:lpstr>Movimentação de Conteiner Anual</vt:lpstr>
      <vt:lpstr>Movimentação de Contêiner</vt:lpstr>
      <vt:lpstr>Indicador - Espera</vt:lpstr>
      <vt:lpstr>Indicador - Produtividade</vt:lpstr>
      <vt:lpstr>Índices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Julliana</dc:creator>
  <cp:lastModifiedBy>administrator</cp:lastModifiedBy>
  <cp:lastPrinted>2013-11-05T19:08:53Z</cp:lastPrinted>
  <dcterms:created xsi:type="dcterms:W3CDTF">2009-10-26T17:25:51Z</dcterms:created>
  <dcterms:modified xsi:type="dcterms:W3CDTF">2019-03-29T18:04:14Z</dcterms:modified>
</cp:coreProperties>
</file>